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test du 19 septembre" sheetId="1" r:id="rId1"/>
  </sheets>
  <definedNames>
    <definedName name="Entrer_une_vma" localSheetId="0">'test du 19 septembre'!$C$12</definedName>
    <definedName name="Entrer_une_vma">#REF!</definedName>
    <definedName name="Mn1" localSheetId="0">'test du 19 septembre'!$L$5</definedName>
    <definedName name="Mn1">#REF!</definedName>
    <definedName name="Mn2" localSheetId="0">'test du 19 septembre'!$L$6</definedName>
    <definedName name="Mn2">#REF!</definedName>
    <definedName name="Sec1" localSheetId="0">'test du 19 septembre'!$M$5</definedName>
    <definedName name="Sec1">#REF!</definedName>
    <definedName name="Sec2" localSheetId="0">'test du 19 septembre'!$M$6</definedName>
    <definedName name="Sec2">#REF!</definedName>
    <definedName name="VMA" localSheetId="0">'test du 19 septembre'!$C$12</definedName>
    <definedName name="VMA">#REF!</definedName>
    <definedName name="vma_cachée" localSheetId="0">'test du 19 septembre'!$IV$1</definedName>
    <definedName name="vma_cachée">#REF!</definedName>
    <definedName name="VMA_connue" localSheetId="0">'test du 19 septembre'!$C$5</definedName>
    <definedName name="VMA_connue">#REF!</definedName>
    <definedName name="_xlnm.Print_Area" localSheetId="0">'test du 19 septembre'!$A$1:$U$32</definedName>
  </definedNames>
  <calcPr fullCalcOnLoad="1"/>
</workbook>
</file>

<file path=xl/sharedStrings.xml><?xml version="1.0" encoding="utf-8"?>
<sst xmlns="http://schemas.openxmlformats.org/spreadsheetml/2006/main" count="29" uniqueCount="29">
  <si>
    <t>Mn</t>
  </si>
  <si>
    <t>Sec</t>
  </si>
  <si>
    <t>Entrer votre VMA :</t>
  </si>
  <si>
    <t>Ou bien un temps de référence sur :</t>
  </si>
  <si>
    <t>2000 m</t>
  </si>
  <si>
    <t>1500 m</t>
  </si>
  <si>
    <t>Votre VMA est de  :</t>
  </si>
  <si>
    <t>Km/h</t>
  </si>
  <si>
    <t>Allures en %age de vma</t>
  </si>
  <si>
    <t>30s</t>
  </si>
  <si>
    <t>100m</t>
  </si>
  <si>
    <t>200m</t>
  </si>
  <si>
    <t>400m</t>
  </si>
  <si>
    <t>500m</t>
  </si>
  <si>
    <t>1000m</t>
  </si>
  <si>
    <t>2000m</t>
  </si>
  <si>
    <t>5000m</t>
  </si>
  <si>
    <t>10km</t>
  </si>
  <si>
    <t>15km</t>
  </si>
  <si>
    <t>20km</t>
  </si>
  <si>
    <t>Semi</t>
  </si>
  <si>
    <t>25km</t>
  </si>
  <si>
    <t>30km</t>
  </si>
  <si>
    <t>35km</t>
  </si>
  <si>
    <t>40km</t>
  </si>
  <si>
    <t>Marathon</t>
  </si>
  <si>
    <t>50km</t>
  </si>
  <si>
    <t>75km</t>
  </si>
  <si>
    <t>100km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</si>
</sst>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RowColHeaders="0"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24.7109375" style="0" customWidth="1"/>
    <col min="2" max="18" width="10.7109375" style="0" customWidth="1"/>
  </cols>
  <sheetData>
    <row r="1" ht="12.75">
      <c r="IV1" s="1">
        <f>IF(AND(VMA_connue="",Mn1="",Mn2="")=TRUE,7,IF(VMA_connue&lt;&gt;0,VMA_connue,ROUND(IF(VMA_connue="",IF(Mn1="",(1.5/((Mn2*60)+Sec2)*3600),(2/((Mn1*60)+Sec1)*3600))),1)))</f>
        <v>7</v>
      </c>
    </row>
    <row r="4" spans="12:13" ht="18">
      <c r="L4" s="2" t="s">
        <v>0</v>
      </c>
      <c r="M4" s="2" t="s">
        <v>1</v>
      </c>
    </row>
    <row r="5" spans="1:13" ht="18">
      <c r="A5" s="14" t="s">
        <v>2</v>
      </c>
      <c r="B5" s="14"/>
      <c r="C5" s="34"/>
      <c r="E5" s="14" t="s">
        <v>3</v>
      </c>
      <c r="F5" s="14"/>
      <c r="G5" s="14"/>
      <c r="H5" s="14"/>
      <c r="I5" s="14"/>
      <c r="J5" s="14"/>
      <c r="K5" s="3" t="s">
        <v>4</v>
      </c>
      <c r="L5" s="4"/>
      <c r="M5" s="5"/>
    </row>
    <row r="6" spans="11:13" ht="18">
      <c r="K6" s="3" t="s">
        <v>5</v>
      </c>
      <c r="L6" s="4"/>
      <c r="M6" s="5"/>
    </row>
    <row r="8" spans="1:3" ht="18.75" customHeight="1">
      <c r="A8" s="2"/>
      <c r="B8" s="2"/>
      <c r="C8" s="6"/>
    </row>
    <row r="9" spans="1:3" ht="12.75" customHeight="1">
      <c r="A9" s="2"/>
      <c r="B9" s="2"/>
      <c r="C9" s="6"/>
    </row>
    <row r="10" spans="1:3" ht="12.75" customHeight="1">
      <c r="A10" s="2"/>
      <c r="B10" s="2"/>
      <c r="C10" s="6"/>
    </row>
    <row r="11" spans="1:3" ht="12.75" customHeight="1">
      <c r="A11" s="2"/>
      <c r="B11" s="2"/>
      <c r="C11" s="6"/>
    </row>
    <row r="12" spans="1:5" ht="18">
      <c r="A12" s="14" t="s">
        <v>6</v>
      </c>
      <c r="B12" s="14"/>
      <c r="C12" s="7">
        <f>IF(OR(AND(VMA_connue="",Mn1="",Mn2="")=TRUE,AND(VMA_connue&lt;&gt;"",VMA_connue&lt;7)=TRUE,vma_cachée&lt;7),7,ROUND(IF(VMA_connue="",IF(Mn1="",(1.5/(Mn2*60+Sec2)*3600),(2/(Mn1*60+Sec1)*3600)),VMA_connue),1))</f>
        <v>7</v>
      </c>
      <c r="D12" s="3" t="s">
        <v>7</v>
      </c>
      <c r="E12" s="8" t="str">
        <f>IF(AND(VMA_connue="",Mn1="",Mn2=""),"Heu le 7 c'est histoire de mettre quelque chose mais sa serait mieux que tu remplisse les cases !!!",IF(vma_cachée&lt;7,"Merci de ne pas mettre n'importe quoi dans les cases quand même, comme si ta VMA était à moins de 7 pfff !!!!!",""))</f>
        <v>Heu le 7 c'est histoire de mettre quelque chose mais sa serait mieux que tu remplisse les cases !!!</v>
      </c>
    </row>
    <row r="13" ht="12.75" customHeight="1"/>
    <row r="14" ht="12.75" customHeight="1"/>
    <row r="15" spans="1:21" ht="12.75">
      <c r="A15" s="15" t="s">
        <v>8</v>
      </c>
      <c r="B15" s="16" t="s">
        <v>9</v>
      </c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7" t="s">
        <v>19</v>
      </c>
      <c r="M15" s="17" t="s">
        <v>20</v>
      </c>
      <c r="N15" s="17" t="s">
        <v>21</v>
      </c>
      <c r="O15" s="17" t="s">
        <v>22</v>
      </c>
      <c r="P15" s="17" t="s">
        <v>23</v>
      </c>
      <c r="Q15" s="17" t="s">
        <v>24</v>
      </c>
      <c r="R15" s="17" t="s">
        <v>25</v>
      </c>
      <c r="S15" s="17" t="s">
        <v>26</v>
      </c>
      <c r="T15" s="17" t="s">
        <v>27</v>
      </c>
      <c r="U15" s="18" t="s">
        <v>28</v>
      </c>
    </row>
    <row r="16" spans="1:21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</row>
    <row r="17" spans="1:21" ht="12.75">
      <c r="A17" s="9">
        <v>1</v>
      </c>
      <c r="B17" s="19" t="str">
        <f>(ROUND((Entrer_une_vma/0.12),0)&amp;"m")</f>
        <v>58m</v>
      </c>
      <c r="C17" s="20" t="str">
        <f>TEXT((0.1/Entrer_une_vma/24),"hh:mm:ss")</f>
        <v>00:00:51</v>
      </c>
      <c r="D17" s="20" t="str">
        <f>TEXT((0.2/Entrer_une_vma/24),"hh:mm:ss")</f>
        <v>00:01:43</v>
      </c>
      <c r="E17" s="20" t="str">
        <f>TEXT((0.4/Entrer_une_vma/24),"hh:mm:ss")</f>
        <v>00:03:26</v>
      </c>
      <c r="F17" s="20" t="str">
        <f>TEXT((0.5/Entrer_une_vma/24),"hh:mm:ss")</f>
        <v>00:04:17</v>
      </c>
      <c r="G17" s="20" t="str">
        <f>TEXT((1/Entrer_une_vma/24),"hh:mm:ss")</f>
        <v>00:08:34</v>
      </c>
      <c r="H17" s="20" t="str">
        <f>TEXT((2/Entrer_une_vma/24),"hh:mm:ss")</f>
        <v>00:17:09</v>
      </c>
      <c r="I17" s="21" t="str">
        <f>TEXT((5/Entrer_une_vma/24),"hh:mm:ss")</f>
        <v>00:42:51</v>
      </c>
      <c r="J17" s="21" t="str">
        <f>TEXT((10/Entrer_une_vma/24),"hh:mm:ss")</f>
        <v>01:25:43</v>
      </c>
      <c r="K17" s="21" t="str">
        <f>TEXT((15/Entrer_une_vma/24),"hh:mm:ss")</f>
        <v>02:08:34</v>
      </c>
      <c r="L17" s="21" t="str">
        <f>TEXT((20/Entrer_une_vma/24),"hh:mm:ss")</f>
        <v>02:51:26</v>
      </c>
      <c r="M17" s="21" t="str">
        <f>TEXT((21.1/Entrer_une_vma/24),"hh:mm:ss")</f>
        <v>03:00:51</v>
      </c>
      <c r="N17" s="21" t="str">
        <f>TEXT((25/Entrer_une_vma/24),"hh:mm:ss")</f>
        <v>03:34:17</v>
      </c>
      <c r="O17" s="21" t="str">
        <f>TEXT((30/Entrer_une_vma/24),"hh:mm:ss")</f>
        <v>04:17:09</v>
      </c>
      <c r="P17" s="21" t="str">
        <f>TEXT((35/Entrer_une_vma/24),"hh:mm:ss")</f>
        <v>05:00:00</v>
      </c>
      <c r="Q17" s="21" t="str">
        <f>TEXT((40/Entrer_une_vma/24),"hh:mm:ss")</f>
        <v>05:42:51</v>
      </c>
      <c r="R17" s="21" t="str">
        <f>TEXT((42.195/Entrer_une_vma/24),"hh:mm:ss")</f>
        <v>06:01:40</v>
      </c>
      <c r="S17" s="21" t="str">
        <f>TEXT((50/Entrer_une_vma/24),"hh:mm:ss")</f>
        <v>07:08:34</v>
      </c>
      <c r="T17" s="21" t="str">
        <f>TEXT((75/Entrer_une_vma/24),"hh:mm:ss")</f>
        <v>10:42:51</v>
      </c>
      <c r="U17" s="22" t="str">
        <f>TEXT((100/Entrer_une_vma/24),"hh:mm:ss")</f>
        <v>14:17:09</v>
      </c>
    </row>
    <row r="18" spans="1:21" ht="12.75">
      <c r="A18" s="10" t="str">
        <f>(Entrer_une_vma)&amp;"km/h"</f>
        <v>7km/h</v>
      </c>
      <c r="B18" s="19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</row>
    <row r="19" spans="1:21" ht="12.75">
      <c r="A19" s="11">
        <v>0.95</v>
      </c>
      <c r="B19" s="23" t="str">
        <f>(ROUND(((Entrer_une_vma*0.95)/0.12),0)&amp;"m")</f>
        <v>55m</v>
      </c>
      <c r="C19" s="24" t="str">
        <f>TEXT((0.1/(Entrer_une_vma*0.95)/24),"hh:mm:ss")</f>
        <v>00:00:54</v>
      </c>
      <c r="D19" s="24" t="str">
        <f>TEXT((0.2/(Entrer_une_vma*0.95)/24),"hh:mm:ss")</f>
        <v>00:01:48</v>
      </c>
      <c r="E19" s="25" t="str">
        <f>TEXT((0.4/(Entrer_une_vma*0.95)/24),"hh:mm:ss")</f>
        <v>00:03:37</v>
      </c>
      <c r="F19" s="25" t="str">
        <f>TEXT((0.5/(Entrer_une_vma*0.95)/24),"hh:mm:ss")</f>
        <v>00:04:31</v>
      </c>
      <c r="G19" s="25" t="str">
        <f>TEXT((1/(Entrer_une_vma*0.95)/24),"hh:mm:ss")</f>
        <v>00:09:01</v>
      </c>
      <c r="H19" s="25" t="str">
        <f>TEXT((2/(Entrer_une_vma*0.95)/24),"hh:mm:ss")</f>
        <v>00:18:03</v>
      </c>
      <c r="I19" s="24" t="str">
        <f>TEXT((5/(Entrer_une_vma*0.95)/24),"hh:mm:ss")</f>
        <v>00:45:07</v>
      </c>
      <c r="J19" s="24" t="str">
        <f>TEXT((10/(Entrer_une_vma*0.95)/24),"hh:mm:ss")</f>
        <v>01:30:14</v>
      </c>
      <c r="K19" s="24" t="str">
        <f>TEXT((15/(Entrer_une_vma*0.95)/24),"hh:mm:ss")</f>
        <v>02:15:20</v>
      </c>
      <c r="L19" s="24" t="str">
        <f>TEXT((20/(Entrer_une_vma*0.95)/24),"hh:mm:ss")</f>
        <v>03:00:27</v>
      </c>
      <c r="M19" s="24" t="str">
        <f>TEXT((21.1/(Entrer_une_vma*0.95)/24),"hh:mm:ss")</f>
        <v>03:10:23</v>
      </c>
      <c r="N19" s="24" t="str">
        <f>TEXT((25/(Entrer_une_vma*0.95)/24),"hh:mm:ss")</f>
        <v>03:45:34</v>
      </c>
      <c r="O19" s="24" t="str">
        <f>TEXT((30/(Entrer_une_vma*0.95)/24),"hh:mm:ss")</f>
        <v>04:30:41</v>
      </c>
      <c r="P19" s="24" t="str">
        <f>TEXT((35/(Entrer_une_vma*0.95)/24),"hh:mm:ss")</f>
        <v>05:15:47</v>
      </c>
      <c r="Q19" s="24" t="str">
        <f>TEXT((40/(Entrer_une_vma*0.95)/24),"hh:mm:ss")</f>
        <v>06:00:54</v>
      </c>
      <c r="R19" s="24" t="str">
        <f>TEXT((42.195/(Entrer_une_vma*0.95)/24),"hh:mm:ss")</f>
        <v>06:20:42</v>
      </c>
      <c r="S19" s="24" t="str">
        <f>TEXT((50/(Entrer_une_vma*0.95)/24),"hh:mm:ss")</f>
        <v>07:31:08</v>
      </c>
      <c r="T19" s="24" t="str">
        <f>TEXT((75/(Entrer_une_vma*0.95)/24),"hh:mm:ss")</f>
        <v>11:16:42</v>
      </c>
      <c r="U19" s="26" t="str">
        <f>TEXT((100/(Entrer_une_vma*0.95)/24),"hh:mm:ss")</f>
        <v>15:02:15</v>
      </c>
    </row>
    <row r="20" spans="1:21" ht="12.75">
      <c r="A20" s="10" t="str">
        <f>((Entrer_une_vma)*0.95)&amp;"km/h"</f>
        <v>6,65km/h</v>
      </c>
      <c r="B20" s="23"/>
      <c r="C20" s="24"/>
      <c r="D20" s="24"/>
      <c r="E20" s="25"/>
      <c r="F20" s="25"/>
      <c r="G20" s="25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</row>
    <row r="21" spans="1:21" ht="12.75">
      <c r="A21" s="11">
        <v>0.9</v>
      </c>
      <c r="B21" s="23" t="str">
        <f>(ROUND(((Entrer_une_vma*0.9)/0.12),0)&amp;"m")</f>
        <v>53m</v>
      </c>
      <c r="C21" s="24" t="str">
        <f>TEXT((0.1/(Entrer_une_vma*0.9)/24),"hh:mm:ss")</f>
        <v>00:00:57</v>
      </c>
      <c r="D21" s="24" t="str">
        <f>TEXT((0.2/(Entrer_une_vma*0.9)/24),"hh:mm:ss")</f>
        <v>00:01:54</v>
      </c>
      <c r="E21" s="24" t="str">
        <f>TEXT((0.4/(Entrer_une_vma*0.9)/24),"hh:mm:ss")</f>
        <v>00:03:49</v>
      </c>
      <c r="F21" s="24" t="str">
        <f>TEXT((0.5/(Entrer_une_vma*0.9)/24),"hh:mm:ss")</f>
        <v>00:04:46</v>
      </c>
      <c r="G21" s="25" t="str">
        <f>TEXT((1/(Entrer_une_vma*0.9)/24),"hh:mm:ss")</f>
        <v>00:09:31</v>
      </c>
      <c r="H21" s="25" t="str">
        <f>TEXT((2/(Entrer_une_vma*0.9)/24),"hh:mm:ss")</f>
        <v>00:19:03</v>
      </c>
      <c r="I21" s="25" t="str">
        <f>TEXT((5/(Entrer_une_vma*0.9)/24),"hh:mm:ss")</f>
        <v>00:47:37</v>
      </c>
      <c r="J21" s="25" t="str">
        <f>TEXT((10/(Entrer_une_vma*0.9)/24),"hh:mm:ss")</f>
        <v>01:35:14</v>
      </c>
      <c r="K21" s="24" t="str">
        <f>TEXT((15/(Entrer_une_vma*0.9)/24),"hh:mm:ss")</f>
        <v>02:22:51</v>
      </c>
      <c r="L21" s="24" t="str">
        <f>TEXT((20/(Entrer_une_vma*0.9)/24),"hh:mm:ss")</f>
        <v>03:10:29</v>
      </c>
      <c r="M21" s="24" t="str">
        <f>TEXT((21.1/(Entrer_une_vma*0.9)/24),"hh:mm:ss")</f>
        <v>03:20:57</v>
      </c>
      <c r="N21" s="24" t="str">
        <f>TEXT((25/(Entrer_une_vma*0.9)/24),"hh:mm:ss")</f>
        <v>03:58:06</v>
      </c>
      <c r="O21" s="24" t="str">
        <f>TEXT((30/(Entrer_une_vma*0.9)/24),"hh:mm:ss")</f>
        <v>04:45:43</v>
      </c>
      <c r="P21" s="24" t="str">
        <f>TEXT((35/(Entrer_une_vma*0.9)/24),"hh:mm:ss")</f>
        <v>05:33:20</v>
      </c>
      <c r="Q21" s="24" t="str">
        <f>TEXT((40/(Entrer_une_vma*0.9)/24),"hh:mm:ss")</f>
        <v>06:20:57</v>
      </c>
      <c r="R21" s="24" t="str">
        <f>TEXT((42.195/(Entrer_une_vma*0.9)/24),"hh:mm:ss")</f>
        <v>06:41:51</v>
      </c>
      <c r="S21" s="24" t="str">
        <f>TEXT((50/(Entrer_une_vma*0.9)/24),"hh:mm:ss")</f>
        <v>07:56:11</v>
      </c>
      <c r="T21" s="24" t="str">
        <f>TEXT((75/(Entrer_une_vma*0.9)/24),"hh:mm:ss")</f>
        <v>11:54:17</v>
      </c>
      <c r="U21" s="26" t="str">
        <f>TEXT((100/(Entrer_une_vma*0.9)/24),"hh:mm:ss")</f>
        <v>15:52:23</v>
      </c>
    </row>
    <row r="22" spans="1:21" ht="12.75">
      <c r="A22" s="10" t="str">
        <f>((Entrer_une_vma)*0.9)&amp;"km/h"</f>
        <v>6,3km/h</v>
      </c>
      <c r="B22" s="23"/>
      <c r="C22" s="24"/>
      <c r="D22" s="24"/>
      <c r="E22" s="24"/>
      <c r="F22" s="24"/>
      <c r="G22" s="25"/>
      <c r="H22" s="25"/>
      <c r="I22" s="25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</row>
    <row r="23" spans="1:21" ht="12.75">
      <c r="A23" s="11">
        <v>0.85</v>
      </c>
      <c r="B23" s="23" t="str">
        <f>(ROUND(((Entrer_une_vma*0.85)/0.12),0)&amp;"m")</f>
        <v>50m</v>
      </c>
      <c r="C23" s="24" t="str">
        <f>TEXT((0.1/(Entrer_une_vma*0.85)/24),"hh:mm:ss")</f>
        <v>00:01:01</v>
      </c>
      <c r="D23" s="24" t="str">
        <f>TEXT((0.2/(Entrer_une_vma*0.85)/24),"hh:mm:ss")</f>
        <v>00:02:01</v>
      </c>
      <c r="E23" s="24" t="str">
        <f>TEXT((0.4/(Entrer_une_vma*0.85)/24),"hh:mm:ss")</f>
        <v>00:04:02</v>
      </c>
      <c r="F23" s="24" t="str">
        <f>TEXT((0.5/(Entrer_une_vma*0.85)/24),"hh:mm:ss")</f>
        <v>00:05:03</v>
      </c>
      <c r="G23" s="25" t="str">
        <f>TEXT((1/(Entrer_une_vma*0.85)/24),"hh:mm:ss")</f>
        <v>00:10:05</v>
      </c>
      <c r="H23" s="25" t="str">
        <f>TEXT((2/(Entrer_une_vma*0.85)/24),"hh:mm:ss")</f>
        <v>00:20:10</v>
      </c>
      <c r="I23" s="25" t="str">
        <f>TEXT((5/(Entrer_une_vma*0.85)/24),"hh:mm:ss")</f>
        <v>00:50:25</v>
      </c>
      <c r="J23" s="25" t="str">
        <f>TEXT((10/(Entrer_une_vma*0.85)/24),"hh:mm:ss")</f>
        <v>01:40:50</v>
      </c>
      <c r="K23" s="25" t="str">
        <f>TEXT((15/(Entrer_une_vma*0.85)/24),"hh:mm:ss")</f>
        <v>02:31:16</v>
      </c>
      <c r="L23" s="25" t="str">
        <f>TEXT((20/(Entrer_une_vma*0.85)/24),"hh:mm:ss")</f>
        <v>03:21:41</v>
      </c>
      <c r="M23" s="25" t="str">
        <f>TEXT((21.1/(Entrer_une_vma*0.85)/24),"hh:mm:ss")</f>
        <v>03:32:46</v>
      </c>
      <c r="N23" s="24" t="str">
        <f>TEXT((25/(Entrer_une_vma*0.85)/24),"hh:mm:ss")</f>
        <v>04:12:06</v>
      </c>
      <c r="O23" s="24" t="str">
        <f>TEXT((30/(Entrer_une_vma*0.85)/24),"hh:mm:ss")</f>
        <v>05:02:31</v>
      </c>
      <c r="P23" s="24" t="str">
        <f>TEXT((35/(Entrer_une_vma*0.85)/24),"hh:mm:ss")</f>
        <v>05:52:56</v>
      </c>
      <c r="Q23" s="24" t="str">
        <f>TEXT((40/(Entrer_une_vma*0.85)/24),"hh:mm:ss")</f>
        <v>06:43:22</v>
      </c>
      <c r="R23" s="24" t="str">
        <f>TEXT((42.195/(Entrer_une_vma*0.85)/24),"hh:mm:ss")</f>
        <v>07:05:30</v>
      </c>
      <c r="S23" s="24" t="str">
        <f>TEXT((50/(Entrer_une_vma*0.85)/24),"hh:mm:ss")</f>
        <v>08:24:12</v>
      </c>
      <c r="T23" s="24" t="str">
        <f>TEXT((75/(Entrer_une_vma*0.85)/24),"hh:mm:ss")</f>
        <v>12:36:18</v>
      </c>
      <c r="U23" s="26" t="str">
        <f>TEXT((100/(Entrer_une_vma*0.85)/24),"hh:mm:ss")</f>
        <v>16:48:24</v>
      </c>
    </row>
    <row r="24" spans="1:21" ht="12.75">
      <c r="A24" s="10" t="str">
        <f>((Entrer_une_vma)*0.85)&amp;"km/h"</f>
        <v>5,95km/h</v>
      </c>
      <c r="B24" s="23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 s="24"/>
      <c r="S24" s="24"/>
      <c r="T24" s="24"/>
      <c r="U24" s="26"/>
    </row>
    <row r="25" spans="1:21" ht="12.75">
      <c r="A25" s="11">
        <v>0.8</v>
      </c>
      <c r="B25" s="23" t="str">
        <f>(ROUND(((Entrer_une_vma*0.8)/0.12),0)&amp;"m")</f>
        <v>47m</v>
      </c>
      <c r="C25" s="24" t="str">
        <f>TEXT((0.1/(Entrer_une_vma*0.8)/24),"hh:mm:ss")</f>
        <v>00:01:04</v>
      </c>
      <c r="D25" s="24" t="str">
        <f>TEXT((0.2/(Entrer_une_vma*0.8)/24),"hh:mm:ss")</f>
        <v>00:02:09</v>
      </c>
      <c r="E25" s="24" t="str">
        <f>TEXT((0.4/(Entrer_une_vma*0.8)/24),"hh:mm:ss")</f>
        <v>00:04:17</v>
      </c>
      <c r="F25" s="24" t="str">
        <f>TEXT((0.5/(Entrer_une_vma*0.8)/24),"hh:mm:ss")</f>
        <v>00:05:21</v>
      </c>
      <c r="G25" s="24" t="str">
        <f>TEXT((1/(Entrer_une_vma*0.8)/24),"hh:mm:ss")</f>
        <v>00:10:43</v>
      </c>
      <c r="H25" s="24" t="str">
        <f>TEXT((2/(Entrer_une_vma*0.8)/24),"hh:mm:ss")</f>
        <v>00:21:26</v>
      </c>
      <c r="I25" s="24" t="str">
        <f>TEXT((5/(Entrer_une_vma*0.8)/24),"hh:mm:ss")</f>
        <v>00:53:34</v>
      </c>
      <c r="J25" s="24" t="str">
        <f>TEXT((10/(Entrer_une_vma*0.8)/24),"hh:mm:ss")</f>
        <v>01:47:09</v>
      </c>
      <c r="K25" s="24" t="str">
        <f>TEXT((15/(Entrer_une_vma*0.8)/24),"hh:mm:ss")</f>
        <v>02:40:43</v>
      </c>
      <c r="L25" s="25" t="str">
        <f>TEXT((20/(Entrer_une_vma*0.8)/24),"hh:mm:ss")</f>
        <v>03:34:17</v>
      </c>
      <c r="M25" s="25" t="str">
        <f>TEXT((21.1/(Entrer_une_vma*0.8)/24),"hh:mm:ss")</f>
        <v>03:46:04</v>
      </c>
      <c r="N25" s="25" t="str">
        <f>TEXT((25/(Entrer_une_vma*0.8)/24),"hh:mm:ss")</f>
        <v>04:27:51</v>
      </c>
      <c r="O25" s="25" t="str">
        <f>TEXT((30/(Entrer_une_vma*0.8)/24),"hh:mm:ss")</f>
        <v>05:21:26</v>
      </c>
      <c r="P25" s="25" t="str">
        <f>TEXT((35/(Entrer_une_vma*0.8)/24),"hh:mm:ss")</f>
        <v>06:15:00</v>
      </c>
      <c r="Q25" s="25" t="str">
        <f>TEXT((40/(Entrer_une_vma*0.8)/24),"hh:mm:ss")</f>
        <v>07:08:34</v>
      </c>
      <c r="R25" s="25" t="str">
        <f>TEXT((42.195/(Entrer_une_vma*0.8)/24),"hh:mm:ss")</f>
        <v>07:32:05</v>
      </c>
      <c r="S25" s="25" t="str">
        <f>TEXT((50/(Entrer_une_vma*0.8)/24),"hh:mm:ss")</f>
        <v>08:55:43</v>
      </c>
      <c r="T25" s="27" t="str">
        <f>TEXT((75/(Entrer_une_vma*0.8)/24),"hh:mm:ss")</f>
        <v>13:23:34</v>
      </c>
      <c r="U25" s="28" t="str">
        <f>TEXT((100/(Entrer_une_vma*0.8)/24),"hh:mm:ss")</f>
        <v>17:51:26</v>
      </c>
    </row>
    <row r="26" spans="1:21" ht="12.75">
      <c r="A26" s="10" t="str">
        <f>((Entrer_une_vma)*0.8)&amp;"km/h"</f>
        <v>5,6km/h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7"/>
      <c r="U26" s="28"/>
    </row>
    <row r="27" spans="1:21" ht="12.75">
      <c r="A27" s="11">
        <v>0.75</v>
      </c>
      <c r="B27" s="23" t="str">
        <f>(ROUND(((Entrer_une_vma*0.75)/0.12),0)&amp;"m")</f>
        <v>44m</v>
      </c>
      <c r="C27" s="24" t="str">
        <f>TEXT((0.1/(Entrer_une_vma*0.75)/24),"hh:mm:ss")</f>
        <v>00:01:09</v>
      </c>
      <c r="D27" s="24" t="str">
        <f>TEXT((0.2/(Entrer_une_vma*0.75)/24),"hh:mm:ss")</f>
        <v>00:02:17</v>
      </c>
      <c r="E27" s="24" t="str">
        <f>TEXT((0.4/(Entrer_une_vma*0.75)/24),"hh:mm:ss")</f>
        <v>00:04:34</v>
      </c>
      <c r="F27" s="24" t="str">
        <f>TEXT((0.5/(Entrer_une_vma*0.75)/24),"hh:mm:ss")</f>
        <v>00:05:43</v>
      </c>
      <c r="G27" s="24" t="str">
        <f>TEXT((1/(Entrer_une_vma*0.75)/24),"hh:mm:ss")</f>
        <v>00:11:26</v>
      </c>
      <c r="H27" s="24" t="str">
        <f>TEXT((2/(Entrer_une_vma*0.75)/24),"hh:mm:ss")</f>
        <v>00:22:51</v>
      </c>
      <c r="I27" s="24" t="str">
        <f>TEXT((5/(Entrer_une_vma*0.75)/24),"hh:mm:ss")</f>
        <v>00:57:09</v>
      </c>
      <c r="J27" s="24" t="str">
        <f>TEXT((10/(Entrer_une_vma*0.75)/24),"hh:mm:ss")</f>
        <v>01:54:17</v>
      </c>
      <c r="K27" s="24" t="str">
        <f>TEXT((15/(Entrer_une_vma*0.75)/24),"hh:mm:ss")</f>
        <v>02:51:26</v>
      </c>
      <c r="L27" s="24" t="str">
        <f>TEXT((20/(Entrer_une_vma*0.75)/24),"hh:mm:ss")</f>
        <v>03:48:34</v>
      </c>
      <c r="M27" s="24" t="str">
        <f>TEXT((21.1/(Entrer_une_vma*0.75)/24),"hh:mm:ss")</f>
        <v>04:01:09</v>
      </c>
      <c r="N27" s="24" t="str">
        <f>TEXT((25/(Entrer_une_vma*0.75)/24),"hh:mm:ss")</f>
        <v>04:45:43</v>
      </c>
      <c r="O27" s="24" t="str">
        <f>TEXT((30/(Entrer_une_vma*0.75)/24),"hh:mm:ss")</f>
        <v>05:42:51</v>
      </c>
      <c r="P27" s="24" t="str">
        <f>TEXT((35/(Entrer_une_vma*0.75)/24),"hh:mm:ss")</f>
        <v>06:40:00</v>
      </c>
      <c r="Q27" s="24" t="str">
        <f>TEXT((40/(Entrer_une_vma*0.75)/24),"hh:mm:ss")</f>
        <v>07:37:09</v>
      </c>
      <c r="R27" s="24" t="str">
        <f>TEXT((42.195/(Entrer_une_vma*0.75)/24),"hh:mm:ss")</f>
        <v>08:02:14</v>
      </c>
      <c r="S27" s="25" t="str">
        <f>TEXT((50/(Entrer_une_vma*0.75)/24),"hh:mm:ss")</f>
        <v>09:31:26</v>
      </c>
      <c r="T27" s="24" t="str">
        <f>TEXT((75/(Entrer_une_vma*0.75)/24),"hh:mm:ss")</f>
        <v>14:17:09</v>
      </c>
      <c r="U27" s="26" t="str">
        <f>TEXT((100/(Entrer_une_vma*0.75)/24),"hh:mm:ss")</f>
        <v>19:02:51</v>
      </c>
    </row>
    <row r="28" spans="1:21" ht="12.75">
      <c r="A28" s="10" t="str">
        <f>((Entrer_une_vma)*0.75)&amp;"km/h"</f>
        <v>5,25km/h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6"/>
    </row>
    <row r="29" spans="1:21" ht="12.75">
      <c r="A29" s="12">
        <v>0.7</v>
      </c>
      <c r="B29" s="23" t="str">
        <f>(ROUND(((Entrer_une_vma*0.7)/0.12),0)&amp;"m")</f>
        <v>41m</v>
      </c>
      <c r="C29" s="24" t="str">
        <f>TEXT((0.1/(Entrer_une_vma*0.7)/24),"hh:mm:ss")</f>
        <v>00:01:13</v>
      </c>
      <c r="D29" s="24" t="str">
        <f>TEXT((0.2/(Entrer_une_vma*0.7)/24),"hh:mm:ss")</f>
        <v>00:02:27</v>
      </c>
      <c r="E29" s="24" t="str">
        <f>TEXT((0.4/(Entrer_une_vma*0.7)/24),"hh:mm:ss")</f>
        <v>00:04:54</v>
      </c>
      <c r="F29" s="24" t="str">
        <f>TEXT((0.5/(Entrer_une_vma*0.7)/24),"hh:mm:ss")</f>
        <v>00:06:07</v>
      </c>
      <c r="G29" s="24" t="str">
        <f>TEXT((1/(Entrer_une_vma*0.7)/24),"hh:mm:ss")</f>
        <v>00:12:15</v>
      </c>
      <c r="H29" s="24" t="str">
        <f>TEXT((2/(Entrer_une_vma*0.7)/24),"hh:mm:ss")</f>
        <v>00:24:29</v>
      </c>
      <c r="I29" s="24" t="str">
        <f>TEXT((5/(Entrer_une_vma*0.7)/24),"hh:mm:ss")</f>
        <v>01:01:13</v>
      </c>
      <c r="J29" s="24" t="str">
        <f>TEXT((10/(Entrer_une_vma*0.7)/24),"hh:mm:ss")</f>
        <v>02:02:27</v>
      </c>
      <c r="K29" s="24" t="str">
        <f>TEXT((15/(Entrer_une_vma*0.7)/24),"hh:mm:ss")</f>
        <v>03:03:40</v>
      </c>
      <c r="L29" s="24" t="str">
        <f>TEXT((20/(Entrer_une_vma*0.7)/24),"hh:mm:ss")</f>
        <v>04:04:54</v>
      </c>
      <c r="M29" s="24" t="str">
        <f>TEXT((21.1/(Entrer_une_vma*0.7)/24),"hh:mm:ss")</f>
        <v>04:18:22</v>
      </c>
      <c r="N29" s="24" t="str">
        <f>TEXT((25/(Entrer_une_vma*0.7)/24),"hh:mm:ss")</f>
        <v>05:06:07</v>
      </c>
      <c r="O29" s="24" t="str">
        <f>TEXT((30/(Entrer_une_vma*0.7)/24),"hh:mm:ss")</f>
        <v>06:07:21</v>
      </c>
      <c r="P29" s="24" t="str">
        <f>TEXT((35/(Entrer_une_vma*0.7)/24),"hh:mm:ss")</f>
        <v>07:08:34</v>
      </c>
      <c r="Q29" s="24" t="str">
        <f>TEXT((40/(Entrer_une_vma*0.7)/24),"hh:mm:ss")</f>
        <v>08:09:48</v>
      </c>
      <c r="R29" s="24" t="str">
        <f>TEXT((42.195/(Entrer_une_vma*0.7)/24),"hh:mm:ss")</f>
        <v>08:36:40</v>
      </c>
      <c r="S29" s="25" t="str">
        <f>TEXT((50/(Entrer_une_vma*0.7)/24),"hh:mm:ss")</f>
        <v>10:12:15</v>
      </c>
      <c r="T29" s="25" t="str">
        <f>TEXT((75/(Entrer_une_vma*0.7)/24),"hh:mm:ss")</f>
        <v>15:18:22</v>
      </c>
      <c r="U29" s="29" t="str">
        <f>TEXT((100/(Entrer_une_vma*0.7)/24),"hh:mm:ss")</f>
        <v>20:24:29</v>
      </c>
    </row>
    <row r="30" spans="1:21" ht="12.75">
      <c r="A30" s="10" t="str">
        <f>((Entrer_une_vma)*0.7)&amp;"km/h"</f>
        <v>4,9km/h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25"/>
      <c r="U30" s="29"/>
    </row>
    <row r="31" spans="1:21" ht="12.75">
      <c r="A31" s="12">
        <v>0.65</v>
      </c>
      <c r="B31" s="30" t="str">
        <f>(ROUND(((Entrer_une_vma*0.65)/0.12),0)&amp;"m")</f>
        <v>38m</v>
      </c>
      <c r="C31" s="31" t="str">
        <f>TEXT((0.1/(Entrer_une_vma*0.65)/24),"hh:mm:ss")</f>
        <v>00:01:19</v>
      </c>
      <c r="D31" s="31" t="str">
        <f>TEXT((0.2/(Entrer_une_vma*0.65)/24),"hh:mm:ss")</f>
        <v>00:02:38</v>
      </c>
      <c r="E31" s="31" t="str">
        <f>TEXT((0.4/(Entrer_une_vma*0.65)/24),"hh:mm:ss")</f>
        <v>00:05:16</v>
      </c>
      <c r="F31" s="31" t="str">
        <f>TEXT((0.5/(Entrer_une_vma*0.65)/24),"hh:mm:ss")</f>
        <v>00:06:36</v>
      </c>
      <c r="G31" s="31" t="str">
        <f>TEXT((1/(Entrer_une_vma*0.65)/24),"hh:mm:ss")</f>
        <v>00:13:11</v>
      </c>
      <c r="H31" s="31" t="str">
        <f>TEXT((2/(Entrer_une_vma*0.65)/24),"hh:mm:ss")</f>
        <v>00:26:22</v>
      </c>
      <c r="I31" s="31" t="str">
        <f>TEXT((5/(Entrer_une_vma*0.65)/24),"hh:mm:ss")</f>
        <v>01:05:56</v>
      </c>
      <c r="J31" s="31" t="str">
        <f>TEXT((10/(Entrer_une_vma*0.65)/24),"hh:mm:ss")</f>
        <v>02:11:52</v>
      </c>
      <c r="K31" s="31" t="str">
        <f>TEXT((15/(Entrer_une_vma*0.65)/24),"hh:mm:ss")</f>
        <v>03:17:48</v>
      </c>
      <c r="L31" s="31" t="str">
        <f>TEXT((20/(Entrer_une_vma*0.65)/24),"hh:mm:ss")</f>
        <v>04:23:44</v>
      </c>
      <c r="M31" s="31" t="str">
        <f>TEXT((21.1/(Entrer_une_vma*0.65)/24),"hh:mm:ss")</f>
        <v>04:38:15</v>
      </c>
      <c r="N31" s="31" t="str">
        <f>TEXT((25/(Entrer_une_vma*0.65)/24),"hh:mm:ss")</f>
        <v>05:29:40</v>
      </c>
      <c r="O31" s="31" t="str">
        <f>TEXT((30/(Entrer_une_vma*0.65)/24),"hh:mm:ss")</f>
        <v>06:35:36</v>
      </c>
      <c r="P31" s="31" t="str">
        <f>TEXT((35/(Entrer_une_vma*0.65)/24),"hh:mm:ss")</f>
        <v>07:41:32</v>
      </c>
      <c r="Q31" s="31" t="str">
        <f>TEXT((40/(Entrer_une_vma*0.65)/24),"hh:mm:ss")</f>
        <v>08:47:28</v>
      </c>
      <c r="R31" s="31" t="str">
        <f>TEXT((42.195/(Entrer_une_vma*0.65)/24),"hh:mm:ss")</f>
        <v>09:16:25</v>
      </c>
      <c r="S31" s="32" t="str">
        <f>TEXT((50/(Entrer_une_vma*0.65)/24),"hh:mm:ss")</f>
        <v>10:59:20</v>
      </c>
      <c r="T31" s="32" t="str">
        <f>TEXT((75/(Entrer_une_vma*0.65)/24),"hh:mm:ss")</f>
        <v>16:29:01</v>
      </c>
      <c r="U31" s="33" t="str">
        <f>TEXT((100/(Entrer_une_vma*0.65)/24),"hh:mm:ss")</f>
        <v>21:58:41</v>
      </c>
    </row>
    <row r="32" spans="1:21" ht="12.75">
      <c r="A32" s="13" t="str">
        <f>((Entrer_une_vma)*0.65)&amp;"km/h"</f>
        <v>4,55km/h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3"/>
    </row>
  </sheetData>
  <sheetProtection password="DD91" sheet="1" formatCells="0"/>
  <mergeCells count="184">
    <mergeCell ref="R31:R32"/>
    <mergeCell ref="S31:S32"/>
    <mergeCell ref="T31:T32"/>
    <mergeCell ref="U31:U32"/>
    <mergeCell ref="N31:N32"/>
    <mergeCell ref="O31:O32"/>
    <mergeCell ref="P31:P32"/>
    <mergeCell ref="Q31:Q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R29:R30"/>
    <mergeCell ref="S29:S30"/>
    <mergeCell ref="T29:T30"/>
    <mergeCell ref="U29:U30"/>
    <mergeCell ref="N29:N30"/>
    <mergeCell ref="O29:O30"/>
    <mergeCell ref="P29:P30"/>
    <mergeCell ref="Q29:Q30"/>
    <mergeCell ref="J29:J30"/>
    <mergeCell ref="K29:K30"/>
    <mergeCell ref="L29:L30"/>
    <mergeCell ref="M29:M30"/>
    <mergeCell ref="F29:F30"/>
    <mergeCell ref="G29:G30"/>
    <mergeCell ref="H29:H30"/>
    <mergeCell ref="I29:I30"/>
    <mergeCell ref="B29:B30"/>
    <mergeCell ref="C29:C30"/>
    <mergeCell ref="D29:D30"/>
    <mergeCell ref="E29:E30"/>
    <mergeCell ref="R27:R28"/>
    <mergeCell ref="S27:S28"/>
    <mergeCell ref="T27:T28"/>
    <mergeCell ref="U27:U28"/>
    <mergeCell ref="N27:N28"/>
    <mergeCell ref="O27:O28"/>
    <mergeCell ref="P27:P28"/>
    <mergeCell ref="Q27:Q28"/>
    <mergeCell ref="J27:J28"/>
    <mergeCell ref="K27:K28"/>
    <mergeCell ref="L27:L28"/>
    <mergeCell ref="M27:M28"/>
    <mergeCell ref="F27:F28"/>
    <mergeCell ref="G27:G28"/>
    <mergeCell ref="H27:H28"/>
    <mergeCell ref="I27:I28"/>
    <mergeCell ref="B27:B28"/>
    <mergeCell ref="C27:C28"/>
    <mergeCell ref="D27:D28"/>
    <mergeCell ref="E27:E28"/>
    <mergeCell ref="R25:R26"/>
    <mergeCell ref="S25:S26"/>
    <mergeCell ref="T25:T26"/>
    <mergeCell ref="U25:U26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B25:B26"/>
    <mergeCell ref="C25:C26"/>
    <mergeCell ref="D25:D26"/>
    <mergeCell ref="E25:E26"/>
    <mergeCell ref="R23:R24"/>
    <mergeCell ref="S23:S24"/>
    <mergeCell ref="T23:T24"/>
    <mergeCell ref="U23:U24"/>
    <mergeCell ref="N23:N24"/>
    <mergeCell ref="O23:O24"/>
    <mergeCell ref="P23:P24"/>
    <mergeCell ref="Q23:Q24"/>
    <mergeCell ref="J23:J24"/>
    <mergeCell ref="K23:K24"/>
    <mergeCell ref="L23:L24"/>
    <mergeCell ref="M23:M24"/>
    <mergeCell ref="F23:F24"/>
    <mergeCell ref="G23:G24"/>
    <mergeCell ref="H23:H24"/>
    <mergeCell ref="I23:I24"/>
    <mergeCell ref="B23:B24"/>
    <mergeCell ref="C23:C24"/>
    <mergeCell ref="D23:D24"/>
    <mergeCell ref="E23:E24"/>
    <mergeCell ref="R21:R22"/>
    <mergeCell ref="S21:S22"/>
    <mergeCell ref="T21:T22"/>
    <mergeCell ref="U21:U22"/>
    <mergeCell ref="N21:N22"/>
    <mergeCell ref="O21:O22"/>
    <mergeCell ref="P21:P22"/>
    <mergeCell ref="Q21:Q22"/>
    <mergeCell ref="J21:J22"/>
    <mergeCell ref="K21:K22"/>
    <mergeCell ref="L21:L22"/>
    <mergeCell ref="M21:M22"/>
    <mergeCell ref="F21:F22"/>
    <mergeCell ref="G21:G22"/>
    <mergeCell ref="H21:H22"/>
    <mergeCell ref="I21:I22"/>
    <mergeCell ref="B21:B22"/>
    <mergeCell ref="C21:C22"/>
    <mergeCell ref="D21:D22"/>
    <mergeCell ref="E21:E22"/>
    <mergeCell ref="R19:R20"/>
    <mergeCell ref="S19:S20"/>
    <mergeCell ref="T19:T20"/>
    <mergeCell ref="U19:U20"/>
    <mergeCell ref="N19:N20"/>
    <mergeCell ref="O19:O20"/>
    <mergeCell ref="P19:P20"/>
    <mergeCell ref="Q19:Q20"/>
    <mergeCell ref="J19:J20"/>
    <mergeCell ref="K19:K20"/>
    <mergeCell ref="L19:L20"/>
    <mergeCell ref="M19:M20"/>
    <mergeCell ref="F19:F20"/>
    <mergeCell ref="G19:G20"/>
    <mergeCell ref="H19:H20"/>
    <mergeCell ref="I19:I20"/>
    <mergeCell ref="B19:B20"/>
    <mergeCell ref="C19:C20"/>
    <mergeCell ref="D19:D20"/>
    <mergeCell ref="E19:E20"/>
    <mergeCell ref="R17:R18"/>
    <mergeCell ref="S17:S18"/>
    <mergeCell ref="T17:T18"/>
    <mergeCell ref="U17:U18"/>
    <mergeCell ref="N17:N18"/>
    <mergeCell ref="O17:O18"/>
    <mergeCell ref="P17:P18"/>
    <mergeCell ref="Q17:Q18"/>
    <mergeCell ref="J17:J18"/>
    <mergeCell ref="K17:K18"/>
    <mergeCell ref="L17:L18"/>
    <mergeCell ref="M17:M18"/>
    <mergeCell ref="T15:T16"/>
    <mergeCell ref="U15:U16"/>
    <mergeCell ref="B17:B18"/>
    <mergeCell ref="C17:C18"/>
    <mergeCell ref="D17:D18"/>
    <mergeCell ref="E17:E18"/>
    <mergeCell ref="F17:F18"/>
    <mergeCell ref="G17:G18"/>
    <mergeCell ref="H17:H18"/>
    <mergeCell ref="I17:I18"/>
    <mergeCell ref="P15:P16"/>
    <mergeCell ref="Q15:Q16"/>
    <mergeCell ref="R15:R16"/>
    <mergeCell ref="S15:S16"/>
    <mergeCell ref="L15:L16"/>
    <mergeCell ref="M15:M16"/>
    <mergeCell ref="N15:N16"/>
    <mergeCell ref="O15:O16"/>
    <mergeCell ref="H15:H16"/>
    <mergeCell ref="I15:I16"/>
    <mergeCell ref="J15:J16"/>
    <mergeCell ref="K15:K16"/>
    <mergeCell ref="A5:B5"/>
    <mergeCell ref="E5:J5"/>
    <mergeCell ref="A12:B12"/>
    <mergeCell ref="A15:A16"/>
    <mergeCell ref="B15:B16"/>
    <mergeCell ref="C15:C16"/>
    <mergeCell ref="D15:D16"/>
    <mergeCell ref="E15:E16"/>
    <mergeCell ref="F15:F16"/>
    <mergeCell ref="G15:G16"/>
  </mergeCells>
  <printOptions/>
  <pageMargins left="0.19652777777777777" right="0.35416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